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240" windowHeight="12840"/>
  </bookViews>
  <sheets>
    <sheet name="dane" sheetId="1" r:id="rId1"/>
  </sheets>
  <definedNames>
    <definedName name="_xlnm.Print_Area" localSheetId="0">dane!$B$2:$H$17</definedName>
  </definedNames>
  <calcPr calcId="145621"/>
</workbook>
</file>

<file path=xl/calcChain.xml><?xml version="1.0" encoding="utf-8"?>
<calcChain xmlns="http://schemas.openxmlformats.org/spreadsheetml/2006/main">
  <c r="I16" i="1" l="1"/>
  <c r="I15" i="1"/>
  <c r="I14" i="1"/>
  <c r="I12" i="1"/>
  <c r="I11" i="1"/>
  <c r="I10" i="1"/>
  <c r="I8" i="1"/>
  <c r="I7" i="1"/>
  <c r="I6" i="1"/>
  <c r="I5" i="1"/>
  <c r="I17" i="1"/>
  <c r="X16" i="1"/>
  <c r="X15" i="1"/>
  <c r="X14" i="1"/>
  <c r="X12" i="1"/>
  <c r="X11" i="1"/>
  <c r="X10" i="1"/>
  <c r="X8" i="1"/>
  <c r="X6" i="1"/>
  <c r="X5" i="1"/>
  <c r="X7" i="1"/>
  <c r="W10" i="1" l="1"/>
  <c r="W5" i="1"/>
  <c r="W6" i="1"/>
  <c r="E25" i="1" l="1"/>
  <c r="F25" i="1"/>
  <c r="H17" i="1"/>
  <c r="H14" i="1"/>
  <c r="H12" i="1"/>
  <c r="H8" i="1"/>
  <c r="H7" i="1"/>
  <c r="V16" i="1"/>
  <c r="H16" i="1" s="1"/>
  <c r="V15" i="1"/>
  <c r="H15" i="1" s="1"/>
  <c r="V14" i="1"/>
  <c r="V12" i="1"/>
  <c r="V11" i="1"/>
  <c r="H11" i="1" s="1"/>
  <c r="V8" i="1"/>
  <c r="V7" i="1"/>
  <c r="V5" i="1"/>
  <c r="U6" i="1" l="1"/>
  <c r="V6" i="1" s="1"/>
  <c r="U10" i="1"/>
  <c r="V10" i="1" s="1"/>
  <c r="T6" i="1" l="1"/>
  <c r="T10" i="1"/>
  <c r="S10" i="1" l="1"/>
  <c r="H10" i="1" s="1"/>
  <c r="S6" i="1"/>
  <c r="H6" i="1" s="1"/>
  <c r="S5" i="1"/>
  <c r="H5" i="1" s="1"/>
  <c r="H25" i="1" s="1"/>
  <c r="R12" i="1" l="1"/>
  <c r="G12" i="1" s="1"/>
  <c r="R11" i="1"/>
  <c r="R10" i="1"/>
  <c r="R8" i="1"/>
  <c r="R5" i="1"/>
  <c r="G5" i="1"/>
  <c r="G7" i="1"/>
  <c r="G8" i="1"/>
  <c r="G11" i="1"/>
  <c r="G14" i="1"/>
  <c r="G15" i="1"/>
  <c r="G16" i="1"/>
  <c r="G17" i="1"/>
  <c r="Q10" i="1" l="1"/>
  <c r="G10" i="1" s="1"/>
  <c r="P6" i="1" l="1"/>
  <c r="G6" i="1" s="1"/>
  <c r="G25" i="1" s="1"/>
</calcChain>
</file>

<file path=xl/sharedStrings.xml><?xml version="1.0" encoding="utf-8"?>
<sst xmlns="http://schemas.openxmlformats.org/spreadsheetml/2006/main" count="41" uniqueCount="36">
  <si>
    <t>opłata stała za zarządzanie i pozostałe przychody</t>
  </si>
  <si>
    <t>opłata zmienna za zarządzanie</t>
  </si>
  <si>
    <t>Koszty operacyjne, razem</t>
  </si>
  <si>
    <t>EBIT</t>
  </si>
  <si>
    <t>EBITDA</t>
  </si>
  <si>
    <t>Wynik netto</t>
  </si>
  <si>
    <t>1Q 2014</t>
  </si>
  <si>
    <t>2Q 2014</t>
  </si>
  <si>
    <t>3Q 2014</t>
  </si>
  <si>
    <t>4Q 2014</t>
  </si>
  <si>
    <t>1Q 2015</t>
  </si>
  <si>
    <t>2Q 2015</t>
  </si>
  <si>
    <t>Przychody netto, w tym:</t>
  </si>
  <si>
    <t>Przepływy środków pieniężnych z działalności operacyjnej</t>
  </si>
  <si>
    <t>Przepływy środków pieniężnych z działalności inwestycyjnej</t>
  </si>
  <si>
    <t>Przepływy środków pieniężnych z działalności finansowej</t>
  </si>
  <si>
    <t>2014*</t>
  </si>
  <si>
    <t>tys. zł</t>
  </si>
  <si>
    <t>Środki pieniężne i ich ekwiwalenty w bilansie***</t>
  </si>
  <si>
    <t>*** na zakończenie danego okresu</t>
  </si>
  <si>
    <t>3Q 2015</t>
  </si>
  <si>
    <t>4Q 2015</t>
  </si>
  <si>
    <t>* wyniki za rok kalendarzowy, tj. okres 12 miesięcy od dnia 1 stycznia do 31 grudnia.</t>
  </si>
  <si>
    <t>2015*</t>
  </si>
  <si>
    <t>2013*</t>
  </si>
  <si>
    <t>2Q 2016</t>
  </si>
  <si>
    <t>1Q 2016</t>
  </si>
  <si>
    <t>3Q 2016</t>
  </si>
  <si>
    <t>4Q 2016</t>
  </si>
  <si>
    <t xml:space="preserve">   Rokiem obrotowym Grupy Kapitałowej Skarbiec Holding S.A. jest okres 12 miesięcy od 1 lipca do 30 czerwca kolejnego roku.</t>
  </si>
  <si>
    <t>Wybrane wyniki skonsolidowane dla Grupy Kapitałowej Skarbiec Holding S.A. w ujęciu lat kalendarzowych</t>
  </si>
  <si>
    <t>1Q 2017</t>
  </si>
  <si>
    <t>2016*</t>
  </si>
  <si>
    <t>1H 2017**</t>
  </si>
  <si>
    <t>2Q 2017</t>
  </si>
  <si>
    <t>** wyniki za okres 6 miesięcy od dnia 1 stycznia 2017 roku do dnia 30 czerwca 2017 roku (półrocze kalendarzowe, będące drugim półroczem roku obrotowego 2016/17)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</si>
</sst>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25"/>
  <sheetViews>
    <sheetView tabSelected="1" zoomScale="150" zoomScaleNormal="150" workbookViewId="0"/>
  </sheetViews>
  <sheetFormatPr defaultRowHeight="15" outlineLevelCol="1" x14ac:dyDescent="0.25"/>
  <cols>
    <col min="1" max="1" width="3.7109375" customWidth="1"/>
    <col min="2" max="2" width="2.42578125" customWidth="1"/>
    <col min="3" max="3" width="52.140625" customWidth="1"/>
    <col min="4" max="4" width="18" hidden="1" customWidth="1" outlineLevel="1"/>
    <col min="5" max="5" width="17.28515625" hidden="1" customWidth="1" outlineLevel="1"/>
    <col min="6" max="6" width="15.5703125" customWidth="1" collapsed="1"/>
    <col min="7" max="7" width="15.5703125" customWidth="1"/>
    <col min="8" max="8" width="15.7109375" customWidth="1"/>
    <col min="9" max="9" width="17" customWidth="1"/>
    <col min="10" max="10" width="4.5703125" style="14" customWidth="1"/>
    <col min="11" max="18" width="9.7109375" hidden="1" customWidth="1" outlineLevel="1"/>
    <col min="19" max="19" width="11.7109375" hidden="1" customWidth="1" outlineLevel="1"/>
    <col min="20" max="20" width="12.28515625" hidden="1" customWidth="1" outlineLevel="1"/>
    <col min="21" max="21" width="12.28515625" hidden="1" customWidth="1" outlineLevel="1" collapsed="1"/>
    <col min="22" max="22" width="12.28515625" hidden="1" customWidth="1" outlineLevel="1"/>
    <col min="23" max="24" width="9.7109375" hidden="1" customWidth="1" outlineLevel="1"/>
    <col min="25" max="25" width="9.140625" collapsed="1"/>
  </cols>
  <sheetData>
    <row r="2" spans="2:24" x14ac:dyDescent="0.25">
      <c r="B2" s="5" t="s">
        <v>30</v>
      </c>
      <c r="D2" s="2"/>
    </row>
    <row r="3" spans="2:24" x14ac:dyDescent="0.25">
      <c r="D3" s="2">
        <v>2012</v>
      </c>
      <c r="E3" s="2" t="s">
        <v>24</v>
      </c>
      <c r="F3" s="2" t="s">
        <v>16</v>
      </c>
      <c r="G3" s="2" t="s">
        <v>23</v>
      </c>
      <c r="H3" s="2" t="s">
        <v>32</v>
      </c>
      <c r="I3" s="7" t="s">
        <v>33</v>
      </c>
      <c r="J3" s="15"/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20</v>
      </c>
      <c r="R3" s="2" t="s">
        <v>21</v>
      </c>
      <c r="S3" s="2" t="s">
        <v>26</v>
      </c>
      <c r="T3" s="2" t="s">
        <v>25</v>
      </c>
      <c r="U3" s="2" t="s">
        <v>27</v>
      </c>
      <c r="V3" s="2" t="s">
        <v>28</v>
      </c>
      <c r="W3" s="2" t="s">
        <v>31</v>
      </c>
      <c r="X3" s="2" t="s">
        <v>34</v>
      </c>
    </row>
    <row r="4" spans="2:24" x14ac:dyDescent="0.25"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8" t="s">
        <v>17</v>
      </c>
      <c r="J4" s="16"/>
      <c r="K4" s="2"/>
      <c r="L4" s="2"/>
      <c r="M4" s="2"/>
      <c r="N4" s="2"/>
      <c r="O4" s="2"/>
      <c r="P4" s="2"/>
    </row>
    <row r="5" spans="2:24" x14ac:dyDescent="0.25">
      <c r="B5" t="s">
        <v>12</v>
      </c>
      <c r="D5" s="1">
        <v>59026</v>
      </c>
      <c r="E5" s="1">
        <v>101349</v>
      </c>
      <c r="F5" s="1">
        <v>91056</v>
      </c>
      <c r="G5" s="1">
        <f>SUM(O5:R5)</f>
        <v>92681</v>
      </c>
      <c r="H5" s="1">
        <f>SUM(S5:V5)</f>
        <v>82382</v>
      </c>
      <c r="I5" s="9">
        <f>W5+X5</f>
        <v>62294</v>
      </c>
      <c r="J5" s="17"/>
      <c r="K5" s="1">
        <v>21611</v>
      </c>
      <c r="L5" s="1">
        <v>23077</v>
      </c>
      <c r="M5" s="1">
        <v>24224</v>
      </c>
      <c r="N5" s="1">
        <v>22144</v>
      </c>
      <c r="O5" s="1">
        <v>29221</v>
      </c>
      <c r="P5" s="1">
        <v>23516</v>
      </c>
      <c r="Q5" s="1">
        <v>20751</v>
      </c>
      <c r="R5" s="1">
        <f>+R6+R7</f>
        <v>19193</v>
      </c>
      <c r="S5" s="1">
        <f>+S6+S7</f>
        <v>17361</v>
      </c>
      <c r="T5" s="1">
        <v>18083</v>
      </c>
      <c r="U5" s="1">
        <v>27016</v>
      </c>
      <c r="V5" s="3">
        <f>46938-U5</f>
        <v>19922</v>
      </c>
      <c r="W5" s="3">
        <f>W6+W7</f>
        <v>31128</v>
      </c>
      <c r="X5" s="3">
        <f>109232-SUM(U5:W5)</f>
        <v>31166</v>
      </c>
    </row>
    <row r="6" spans="2:24" x14ac:dyDescent="0.25">
      <c r="C6" t="s">
        <v>0</v>
      </c>
      <c r="D6" s="1">
        <v>58562</v>
      </c>
      <c r="E6" s="1">
        <v>76708</v>
      </c>
      <c r="F6" s="1">
        <v>78562</v>
      </c>
      <c r="G6" s="1">
        <f>SUM(O6:R6)</f>
        <v>80874</v>
      </c>
      <c r="H6" s="1">
        <f>SUM(S6:V6)</f>
        <v>70703</v>
      </c>
      <c r="I6" s="9">
        <f>W6+X6</f>
        <v>41080</v>
      </c>
      <c r="J6" s="17"/>
      <c r="K6" s="1">
        <v>19016</v>
      </c>
      <c r="L6" s="1">
        <v>19921</v>
      </c>
      <c r="M6" s="1">
        <v>20195</v>
      </c>
      <c r="N6" s="1">
        <v>19430</v>
      </c>
      <c r="O6" s="1">
        <v>19596</v>
      </c>
      <c r="P6" s="1">
        <f>19409+2207</f>
        <v>21616</v>
      </c>
      <c r="Q6" s="1">
        <v>20751</v>
      </c>
      <c r="R6" s="1">
        <v>18911</v>
      </c>
      <c r="S6" s="1">
        <f>17361-78</f>
        <v>17283</v>
      </c>
      <c r="T6" s="3">
        <f>T5-1399</f>
        <v>16684</v>
      </c>
      <c r="U6" s="1">
        <f>U5-U7</f>
        <v>17396</v>
      </c>
      <c r="V6" s="3">
        <f>32703+3145+888-U6</f>
        <v>19340</v>
      </c>
      <c r="W6" s="3">
        <f>31128-W7</f>
        <v>19703</v>
      </c>
      <c r="X6" s="3">
        <f>X5-X7</f>
        <v>21377</v>
      </c>
    </row>
    <row r="7" spans="2:24" x14ac:dyDescent="0.25">
      <c r="C7" t="s">
        <v>1</v>
      </c>
      <c r="D7" s="1">
        <v>464</v>
      </c>
      <c r="E7" s="1">
        <v>24641</v>
      </c>
      <c r="F7" s="1">
        <v>12494</v>
      </c>
      <c r="G7" s="1">
        <f>SUM(O7:R7)</f>
        <v>11807</v>
      </c>
      <c r="H7" s="1">
        <f>SUM(S7:V7)</f>
        <v>11679</v>
      </c>
      <c r="I7" s="9">
        <f>W7+X7</f>
        <v>21214</v>
      </c>
      <c r="J7" s="17"/>
      <c r="K7" s="1">
        <v>2595</v>
      </c>
      <c r="L7" s="1">
        <v>3156</v>
      </c>
      <c r="M7" s="1">
        <v>4029</v>
      </c>
      <c r="N7" s="1">
        <v>2714</v>
      </c>
      <c r="O7" s="1">
        <v>9625</v>
      </c>
      <c r="P7" s="1">
        <v>1900</v>
      </c>
      <c r="Q7" s="1">
        <v>0</v>
      </c>
      <c r="R7" s="1">
        <v>282</v>
      </c>
      <c r="S7" s="1">
        <v>78</v>
      </c>
      <c r="T7" s="1">
        <v>1399</v>
      </c>
      <c r="U7" s="1">
        <v>9620</v>
      </c>
      <c r="V7" s="3">
        <f>10202-U7</f>
        <v>582</v>
      </c>
      <c r="W7" s="3">
        <v>11425</v>
      </c>
      <c r="X7" s="3">
        <f>31416-SUM(U7:W7)</f>
        <v>9789</v>
      </c>
    </row>
    <row r="8" spans="2:24" x14ac:dyDescent="0.25">
      <c r="B8" t="s">
        <v>2</v>
      </c>
      <c r="D8" s="1">
        <v>47019</v>
      </c>
      <c r="E8" s="1">
        <v>65767</v>
      </c>
      <c r="F8" s="1">
        <v>67025</v>
      </c>
      <c r="G8" s="1">
        <f>SUM(O8:R8)</f>
        <v>67277</v>
      </c>
      <c r="H8" s="1">
        <f>SUM(S8:V8)</f>
        <v>59713</v>
      </c>
      <c r="I8" s="9">
        <f>W8+X8</f>
        <v>37908</v>
      </c>
      <c r="J8" s="17"/>
      <c r="K8" s="1">
        <v>15786</v>
      </c>
      <c r="L8" s="1">
        <v>17306</v>
      </c>
      <c r="M8" s="1">
        <v>17608</v>
      </c>
      <c r="N8" s="1">
        <v>16325</v>
      </c>
      <c r="O8" s="1">
        <v>17696</v>
      </c>
      <c r="P8" s="1">
        <v>17911</v>
      </c>
      <c r="Q8" s="1">
        <v>16665</v>
      </c>
      <c r="R8" s="1">
        <f>6874+8131</f>
        <v>15005</v>
      </c>
      <c r="S8" s="1">
        <v>14103</v>
      </c>
      <c r="T8" s="1">
        <v>14282</v>
      </c>
      <c r="U8" s="1">
        <v>15102</v>
      </c>
      <c r="V8" s="3">
        <f>31328-U8</f>
        <v>16226</v>
      </c>
      <c r="W8" s="3">
        <v>20064</v>
      </c>
      <c r="X8" s="3">
        <f>69236-SUM(U8:W8)</f>
        <v>17844</v>
      </c>
    </row>
    <row r="9" spans="2:24" x14ac:dyDescent="0.25">
      <c r="D9" s="1"/>
      <c r="E9" s="1"/>
      <c r="F9" s="1"/>
      <c r="G9" s="1"/>
      <c r="H9" s="1"/>
      <c r="I9" s="10"/>
      <c r="K9" s="1"/>
      <c r="L9" s="1"/>
      <c r="M9" s="1"/>
      <c r="N9" s="1"/>
      <c r="O9" s="1"/>
      <c r="P9" s="1"/>
      <c r="U9" s="1"/>
    </row>
    <row r="10" spans="2:24" x14ac:dyDescent="0.25">
      <c r="B10" t="s">
        <v>4</v>
      </c>
      <c r="D10" s="1">
        <v>12448</v>
      </c>
      <c r="E10" s="1">
        <v>35957</v>
      </c>
      <c r="F10" s="1">
        <v>23644</v>
      </c>
      <c r="G10" s="1">
        <f>SUM(O10:R10)</f>
        <v>25897</v>
      </c>
      <c r="H10" s="1">
        <f>SUM(S10:V10)</f>
        <v>23291</v>
      </c>
      <c r="I10" s="9">
        <f>W10+X10</f>
        <v>24409</v>
      </c>
      <c r="J10" s="17"/>
      <c r="K10" s="1">
        <v>6095</v>
      </c>
      <c r="L10" s="1">
        <v>5710</v>
      </c>
      <c r="M10" s="1">
        <v>6292</v>
      </c>
      <c r="N10" s="1">
        <v>5547</v>
      </c>
      <c r="O10" s="1">
        <v>11581</v>
      </c>
      <c r="P10" s="1">
        <v>5794</v>
      </c>
      <c r="Q10" s="1">
        <f>4123+156</f>
        <v>4279</v>
      </c>
      <c r="R10" s="1">
        <f>4246-3</f>
        <v>4243</v>
      </c>
      <c r="S10" s="1">
        <f>3345+107</f>
        <v>3452</v>
      </c>
      <c r="T10" s="1">
        <f>3924+101</f>
        <v>4025</v>
      </c>
      <c r="U10" s="1">
        <f>11841+97</f>
        <v>11938</v>
      </c>
      <c r="V10" s="3">
        <f>(15574+240-U10)</f>
        <v>3876</v>
      </c>
      <c r="W10" s="3">
        <f>+W11+121</f>
        <v>10800</v>
      </c>
      <c r="X10" s="3">
        <f>(39737+486)-SUM(U10:W10)</f>
        <v>13609</v>
      </c>
    </row>
    <row r="11" spans="2:24" x14ac:dyDescent="0.25">
      <c r="B11" t="s">
        <v>3</v>
      </c>
      <c r="D11" s="1">
        <v>11861</v>
      </c>
      <c r="E11" s="1">
        <v>35447</v>
      </c>
      <c r="F11" s="1">
        <v>23071</v>
      </c>
      <c r="G11" s="1">
        <f>SUM(O11:R11)</f>
        <v>25280</v>
      </c>
      <c r="H11" s="1">
        <f>SUM(S11:V11)</f>
        <v>22843</v>
      </c>
      <c r="I11" s="9">
        <f>W11+X11</f>
        <v>24163</v>
      </c>
      <c r="J11" s="17"/>
      <c r="K11" s="1">
        <v>5961</v>
      </c>
      <c r="L11" s="1">
        <v>5573</v>
      </c>
      <c r="M11" s="1">
        <v>6132</v>
      </c>
      <c r="N11" s="1">
        <v>5405</v>
      </c>
      <c r="O11" s="1">
        <v>11427</v>
      </c>
      <c r="P11" s="1">
        <v>5646</v>
      </c>
      <c r="Q11" s="1">
        <v>4123</v>
      </c>
      <c r="R11" s="1">
        <f>4087-3</f>
        <v>4084</v>
      </c>
      <c r="S11" s="1">
        <v>3345</v>
      </c>
      <c r="T11" s="1">
        <v>3924</v>
      </c>
      <c r="U11" s="1">
        <v>11841</v>
      </c>
      <c r="V11" s="3">
        <f>15574-U11</f>
        <v>3733</v>
      </c>
      <c r="W11" s="3">
        <v>10679</v>
      </c>
      <c r="X11" s="3">
        <f>(39737)-SUM(U11:W11)</f>
        <v>13484</v>
      </c>
    </row>
    <row r="12" spans="2:24" x14ac:dyDescent="0.25">
      <c r="B12" t="s">
        <v>5</v>
      </c>
      <c r="D12" s="1">
        <v>10276</v>
      </c>
      <c r="E12" s="1">
        <v>28923</v>
      </c>
      <c r="F12" s="1">
        <v>18385</v>
      </c>
      <c r="G12" s="1">
        <f>SUM(O12:R12)</f>
        <v>20556</v>
      </c>
      <c r="H12" s="1">
        <f>SUM(S12:V12)</f>
        <v>19241</v>
      </c>
      <c r="I12" s="9">
        <f>W12+X12</f>
        <v>19565</v>
      </c>
      <c r="J12" s="17"/>
      <c r="K12" s="1">
        <v>4827</v>
      </c>
      <c r="L12" s="1">
        <v>4470</v>
      </c>
      <c r="M12" s="1">
        <v>4787</v>
      </c>
      <c r="N12" s="1">
        <v>4301</v>
      </c>
      <c r="O12" s="1">
        <v>9282</v>
      </c>
      <c r="P12" s="1">
        <v>4626</v>
      </c>
      <c r="Q12" s="1">
        <v>3338</v>
      </c>
      <c r="R12" s="1">
        <f>3313-3</f>
        <v>3310</v>
      </c>
      <c r="S12" s="1">
        <v>2987</v>
      </c>
      <c r="T12" s="1">
        <v>3353</v>
      </c>
      <c r="U12" s="1">
        <v>9603</v>
      </c>
      <c r="V12" s="3">
        <f>12901-U12</f>
        <v>3298</v>
      </c>
      <c r="W12" s="3">
        <v>8469</v>
      </c>
      <c r="X12" s="3">
        <f>32466-SUM(U12:W12)</f>
        <v>11096</v>
      </c>
    </row>
    <row r="13" spans="2:24" x14ac:dyDescent="0.25">
      <c r="D13" s="1"/>
      <c r="E13" s="1"/>
      <c r="F13" s="1"/>
      <c r="G13" s="1"/>
      <c r="H13" s="1"/>
      <c r="I13" s="10"/>
      <c r="U13" s="1"/>
    </row>
    <row r="14" spans="2:24" x14ac:dyDescent="0.25">
      <c r="B14" t="s">
        <v>13</v>
      </c>
      <c r="D14" s="1">
        <v>8428</v>
      </c>
      <c r="E14" s="1">
        <v>31502</v>
      </c>
      <c r="F14" s="1">
        <v>21752</v>
      </c>
      <c r="G14" s="1">
        <f>SUM(O14:R14)</f>
        <v>21020</v>
      </c>
      <c r="H14" s="1">
        <f>SUM(S14:V14)</f>
        <v>20975</v>
      </c>
      <c r="I14" s="9">
        <f>W14+X14</f>
        <v>15618</v>
      </c>
      <c r="J14" s="17"/>
      <c r="K14" s="3">
        <v>5718</v>
      </c>
      <c r="L14" s="3">
        <v>5187</v>
      </c>
      <c r="M14" s="3">
        <v>3910</v>
      </c>
      <c r="N14" s="3">
        <v>6937</v>
      </c>
      <c r="O14" s="3">
        <v>3995</v>
      </c>
      <c r="P14" s="3">
        <v>11049</v>
      </c>
      <c r="Q14" s="3">
        <v>4390</v>
      </c>
      <c r="R14" s="1">
        <v>1586</v>
      </c>
      <c r="S14" s="1">
        <v>3590</v>
      </c>
      <c r="T14" s="1">
        <v>2371</v>
      </c>
      <c r="U14" s="1">
        <v>4289</v>
      </c>
      <c r="V14" s="3">
        <f>15014-U14</f>
        <v>10725</v>
      </c>
      <c r="W14" s="3">
        <v>2491</v>
      </c>
      <c r="X14" s="3">
        <f>30632-SUM(U14:W14)</f>
        <v>13127</v>
      </c>
    </row>
    <row r="15" spans="2:24" x14ac:dyDescent="0.25">
      <c r="B15" t="s">
        <v>14</v>
      </c>
      <c r="D15" s="1">
        <v>2850</v>
      </c>
      <c r="E15" s="1">
        <v>-5868</v>
      </c>
      <c r="F15" s="1">
        <v>5612</v>
      </c>
      <c r="G15" s="1">
        <f>SUM(O15:R15)</f>
        <v>-5098</v>
      </c>
      <c r="H15" s="1">
        <f>SUM(S15:V15)</f>
        <v>11816</v>
      </c>
      <c r="I15" s="9">
        <f>W15+X15</f>
        <v>-8050</v>
      </c>
      <c r="J15" s="17"/>
      <c r="K15" s="3">
        <v>-7724</v>
      </c>
      <c r="L15" s="3">
        <v>14246</v>
      </c>
      <c r="M15" s="3">
        <v>53</v>
      </c>
      <c r="N15" s="3">
        <v>-963</v>
      </c>
      <c r="O15" s="3">
        <v>-4560</v>
      </c>
      <c r="P15" s="3">
        <v>-12</v>
      </c>
      <c r="Q15" s="3">
        <v>232</v>
      </c>
      <c r="R15" s="1">
        <v>-758</v>
      </c>
      <c r="S15" s="1">
        <v>-1334</v>
      </c>
      <c r="T15" s="1">
        <v>-3753</v>
      </c>
      <c r="U15" s="1">
        <v>2017</v>
      </c>
      <c r="V15" s="3">
        <f>16903-U15</f>
        <v>14886</v>
      </c>
      <c r="W15" s="3">
        <v>-18</v>
      </c>
      <c r="X15" s="3">
        <f>8853-SUM(U15:W15)</f>
        <v>-8032</v>
      </c>
    </row>
    <row r="16" spans="2:24" x14ac:dyDescent="0.25">
      <c r="B16" t="s">
        <v>15</v>
      </c>
      <c r="D16" s="1">
        <v>-8427</v>
      </c>
      <c r="E16" s="1">
        <v>-6553</v>
      </c>
      <c r="F16" s="1">
        <v>-32533</v>
      </c>
      <c r="G16" s="1">
        <f>SUM(O16:R16)</f>
        <v>-21779</v>
      </c>
      <c r="H16" s="1">
        <f>SUM(S16:V16)</f>
        <v>-21267</v>
      </c>
      <c r="I16" s="9">
        <f>W16+X16</f>
        <v>-85</v>
      </c>
      <c r="J16" s="17"/>
      <c r="K16" s="3">
        <v>-77</v>
      </c>
      <c r="L16" s="3">
        <v>-32288</v>
      </c>
      <c r="M16" s="3">
        <v>-66</v>
      </c>
      <c r="N16" s="3">
        <v>-102</v>
      </c>
      <c r="O16" s="3">
        <v>-69</v>
      </c>
      <c r="P16" s="3">
        <v>-110</v>
      </c>
      <c r="Q16" s="3">
        <v>-88</v>
      </c>
      <c r="R16" s="1">
        <v>-21512</v>
      </c>
      <c r="S16" s="1">
        <v>-76</v>
      </c>
      <c r="T16" s="1">
        <v>-71</v>
      </c>
      <c r="U16" s="1">
        <v>-60</v>
      </c>
      <c r="V16" s="3">
        <f>-21120-U16</f>
        <v>-21060</v>
      </c>
      <c r="W16" s="3">
        <v>-38</v>
      </c>
      <c r="X16" s="3">
        <f>-21205-SUM(U16:W16)</f>
        <v>-47</v>
      </c>
    </row>
    <row r="17" spans="2:24" x14ac:dyDescent="0.25">
      <c r="B17" t="s">
        <v>18</v>
      </c>
      <c r="D17" s="1">
        <v>7509</v>
      </c>
      <c r="E17" s="1">
        <v>26590</v>
      </c>
      <c r="F17" s="1">
        <v>21421</v>
      </c>
      <c r="G17" s="1">
        <f>R17</f>
        <v>15562</v>
      </c>
      <c r="H17" s="1">
        <f>V17</f>
        <v>27087</v>
      </c>
      <c r="I17" s="9">
        <f>X17</f>
        <v>34570</v>
      </c>
      <c r="J17" s="17"/>
      <c r="L17" s="3">
        <v>11652</v>
      </c>
      <c r="N17" s="3">
        <v>21421</v>
      </c>
      <c r="O17" s="3">
        <v>20787</v>
      </c>
      <c r="P17" s="3">
        <v>31712</v>
      </c>
      <c r="Q17" s="3">
        <v>36246</v>
      </c>
      <c r="R17" s="1">
        <v>15562</v>
      </c>
      <c r="S17" s="1">
        <v>17742</v>
      </c>
      <c r="T17" s="1">
        <v>16290</v>
      </c>
      <c r="U17" s="1">
        <v>22536</v>
      </c>
      <c r="V17" s="1">
        <v>27087</v>
      </c>
      <c r="W17" s="3">
        <v>29522</v>
      </c>
      <c r="X17" s="3">
        <v>34570</v>
      </c>
    </row>
    <row r="19" spans="2:24" x14ac:dyDescent="0.25">
      <c r="B19" s="12" t="s">
        <v>22</v>
      </c>
      <c r="C19" s="13"/>
    </row>
    <row r="20" spans="2:24" x14ac:dyDescent="0.25">
      <c r="B20" s="11" t="s">
        <v>35</v>
      </c>
      <c r="C20" s="10"/>
      <c r="D20" s="10"/>
      <c r="E20" s="10"/>
      <c r="F20" s="10"/>
      <c r="G20" s="10"/>
      <c r="H20" s="10"/>
    </row>
    <row r="21" spans="2:24" x14ac:dyDescent="0.25">
      <c r="B21" s="11" t="s">
        <v>29</v>
      </c>
      <c r="C21" s="10"/>
      <c r="D21" s="10"/>
      <c r="E21" s="10"/>
      <c r="F21" s="10"/>
      <c r="G21" s="10"/>
      <c r="H21" s="10"/>
    </row>
    <row r="22" spans="2:24" x14ac:dyDescent="0.25">
      <c r="B22" s="4" t="s">
        <v>19</v>
      </c>
    </row>
    <row r="25" spans="2:24" x14ac:dyDescent="0.25">
      <c r="E25" s="3">
        <f>E5-E6-E7</f>
        <v>0</v>
      </c>
      <c r="F25" s="3">
        <f>F5-F6-F7</f>
        <v>0</v>
      </c>
      <c r="G25" s="3">
        <f>G5-G6-G7</f>
        <v>0</v>
      </c>
      <c r="H25" s="3">
        <f>H5-H6-H7</f>
        <v>0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</vt:lpstr>
      <vt:lpstr>dane!Obszar_wydruku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Józefiak, Bartosz, (Skarbiec TFI)</dc:creator>
  <cp:lastModifiedBy>Józefiak, Bartosz, (Skarbiec TFI)</cp:lastModifiedBy>
  <cp:lastPrinted>2016-09-21T07:26:48Z</cp:lastPrinted>
  <dcterms:created xsi:type="dcterms:W3CDTF">2015-08-31T12:44:32Z</dcterms:created>
  <dcterms:modified xsi:type="dcterms:W3CDTF">2017-09-03T15:18:50Z</dcterms:modified>
</cp:coreProperties>
</file>